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lwelzijnsverbond-my.sharepoint.com/personal/steven_delooze_vlaamswelzijnsverbond_be/Documents/Bestanden Connect and Work/Medewerker/2026 Steven/Barema's/PC 331 KO/"/>
    </mc:Choice>
  </mc:AlternateContent>
  <xr:revisionPtr revIDLastSave="214" documentId="13_ncr:1_{7177ECB1-38B5-4BAA-804E-A1479CDDF5BD}" xr6:coauthVersionLast="47" xr6:coauthVersionMax="47" xr10:uidLastSave="{607EFC46-D90D-40A1-8472-9BED1BC4073A}"/>
  <bookViews>
    <workbookView xWindow="-28935" yWindow="-7230" windowWidth="29070" windowHeight="15750" xr2:uid="{00000000-000D-0000-FFFF-FFFF00000000}"/>
  </bookViews>
  <sheets>
    <sheet name="Blad1" sheetId="1" r:id="rId1"/>
  </sheets>
  <definedNames>
    <definedName name="_xlnm.Print_Area" localSheetId="0">Blad1!$A$1:$M$17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P20" i="1"/>
  <c r="K20" i="1"/>
  <c r="G20" i="1"/>
  <c r="C20" i="1"/>
  <c r="D20" i="1"/>
  <c r="H20" i="1"/>
  <c r="J20" i="1"/>
  <c r="L20" i="1"/>
  <c r="M20" i="1"/>
  <c r="Q20" i="1" s="1"/>
  <c r="P19" i="1"/>
  <c r="K19" i="1"/>
  <c r="M19" i="1" s="1"/>
  <c r="D19" i="1"/>
  <c r="F19" i="1" s="1"/>
  <c r="J19" i="1"/>
  <c r="L19" i="1"/>
  <c r="C18" i="1"/>
  <c r="E20" i="1" l="1"/>
  <c r="Q19" i="1"/>
  <c r="E19" i="1"/>
  <c r="G18" i="1"/>
  <c r="F18" i="1"/>
  <c r="N6" i="1"/>
  <c r="P18" i="1"/>
  <c r="Q18" i="1" s="1"/>
  <c r="M18" i="1"/>
  <c r="L18" i="1"/>
  <c r="E18" i="1"/>
  <c r="D18" i="1"/>
  <c r="H18" i="1"/>
  <c r="H17" i="1"/>
  <c r="J18" i="1"/>
  <c r="K18" i="1"/>
  <c r="J17" i="1"/>
  <c r="C17" i="1"/>
  <c r="E17" i="1"/>
  <c r="D17" i="1"/>
  <c r="F17" i="1" s="1"/>
  <c r="E16" i="1"/>
  <c r="E8" i="1"/>
  <c r="E6" i="1"/>
  <c r="G16" i="1"/>
  <c r="G17" i="1" s="1"/>
  <c r="D16" i="1"/>
  <c r="F16" i="1" s="1"/>
  <c r="J16" i="1"/>
  <c r="G15" i="1"/>
  <c r="F15" i="1"/>
  <c r="H15" i="1" l="1"/>
  <c r="C15" i="1" s="1"/>
  <c r="D15" i="1" l="1"/>
  <c r="E15" i="1"/>
  <c r="J15" i="1"/>
  <c r="P7" i="1"/>
  <c r="P8" i="1" s="1"/>
  <c r="P9" i="1" l="1"/>
  <c r="H14" i="1"/>
  <c r="C14" i="1" s="1"/>
  <c r="J14" i="1"/>
  <c r="H13" i="1"/>
  <c r="C13" i="1" s="1"/>
  <c r="J13" i="1"/>
  <c r="D14" i="1" l="1"/>
  <c r="F14" i="1" s="1"/>
  <c r="E14" i="1"/>
  <c r="D13" i="1"/>
  <c r="F13" i="1" s="1"/>
  <c r="E13" i="1"/>
  <c r="P10" i="1"/>
  <c r="C12" i="1"/>
  <c r="E12" i="1" s="1"/>
  <c r="H9" i="1"/>
  <c r="C9" i="1" s="1"/>
  <c r="E9" i="1" s="1"/>
  <c r="H10" i="1"/>
  <c r="C10" i="1" s="1"/>
  <c r="E10" i="1" s="1"/>
  <c r="H11" i="1"/>
  <c r="C11" i="1" s="1"/>
  <c r="E11" i="1" s="1"/>
  <c r="H12" i="1"/>
  <c r="D8" i="1"/>
  <c r="F8" i="1" s="1"/>
  <c r="J8" i="1"/>
  <c r="K7" i="1"/>
  <c r="K8" i="1" s="1"/>
  <c r="K9" i="1" l="1"/>
  <c r="K10" i="1" s="1"/>
  <c r="K11" i="1" s="1"/>
  <c r="K12" i="1" s="1"/>
  <c r="K13" i="1" s="1"/>
  <c r="P11" i="1"/>
  <c r="J12" i="1"/>
  <c r="D11" i="1"/>
  <c r="F11" i="1" s="1"/>
  <c r="J11" i="1"/>
  <c r="K14" i="1" l="1"/>
  <c r="P12" i="1"/>
  <c r="D12" i="1"/>
  <c r="F12" i="1" s="1"/>
  <c r="P13" i="1" l="1"/>
  <c r="K15" i="1"/>
  <c r="K16" i="1"/>
  <c r="K17" i="1" s="1"/>
  <c r="D10" i="1"/>
  <c r="F10" i="1" s="1"/>
  <c r="J10" i="1"/>
  <c r="P14" i="1" l="1"/>
  <c r="M4" i="1"/>
  <c r="Q4" i="1" s="1"/>
  <c r="P16" i="1" l="1"/>
  <c r="P17" i="1" s="1"/>
  <c r="P15" i="1"/>
  <c r="L6" i="1"/>
  <c r="K5" i="1"/>
  <c r="M5" i="1" s="1"/>
  <c r="Q5" i="1" s="1"/>
  <c r="M6" i="1" l="1"/>
  <c r="Q6" i="1" s="1"/>
  <c r="L7" i="1"/>
  <c r="L8" i="1" s="1"/>
  <c r="J5" i="1"/>
  <c r="J4" i="1"/>
  <c r="J7" i="1"/>
  <c r="J9" i="1"/>
  <c r="J6" i="1"/>
  <c r="L9" i="1" l="1"/>
  <c r="M8" i="1"/>
  <c r="Q8" i="1" s="1"/>
  <c r="M7" i="1"/>
  <c r="Q7" i="1" s="1"/>
  <c r="L10" i="1" l="1"/>
  <c r="M9" i="1"/>
  <c r="Q9" i="1" s="1"/>
  <c r="H5" i="1"/>
  <c r="C5" i="1" s="1"/>
  <c r="D5" i="1" l="1"/>
  <c r="F5" i="1" s="1"/>
  <c r="E5" i="1"/>
  <c r="M10" i="1"/>
  <c r="Q10" i="1" s="1"/>
  <c r="L11" i="1"/>
  <c r="H4" i="1"/>
  <c r="C4" i="1" s="1"/>
  <c r="E4" i="1" s="1"/>
  <c r="L12" i="1" l="1"/>
  <c r="M11" i="1"/>
  <c r="Q11" i="1" s="1"/>
  <c r="G4" i="1"/>
  <c r="G5" i="1" s="1"/>
  <c r="G6" i="1" s="1"/>
  <c r="D4" i="1"/>
  <c r="F4" i="1" s="1"/>
  <c r="M12" i="1" l="1"/>
  <c r="Q12" i="1" s="1"/>
  <c r="L13" i="1"/>
  <c r="D6" i="1"/>
  <c r="F6" i="1" s="1"/>
  <c r="L14" i="1" l="1"/>
  <c r="M13" i="1"/>
  <c r="Q13" i="1" s="1"/>
  <c r="H7" i="1"/>
  <c r="L15" i="1" l="1"/>
  <c r="M14" i="1"/>
  <c r="Q14" i="1" s="1"/>
  <c r="G7" i="1"/>
  <c r="G8" i="1" s="1"/>
  <c r="C7" i="1"/>
  <c r="D9" i="1"/>
  <c r="F9" i="1" s="1"/>
  <c r="D7" i="1" l="1"/>
  <c r="F7" i="1" s="1"/>
  <c r="E7" i="1"/>
  <c r="G13" i="1"/>
  <c r="G12" i="1"/>
  <c r="G11" i="1"/>
  <c r="G10" i="1"/>
  <c r="G9" i="1"/>
  <c r="G14" i="1"/>
  <c r="L16" i="1"/>
  <c r="M15" i="1"/>
  <c r="Q15" i="1" s="1"/>
  <c r="M16" i="1" l="1"/>
  <c r="Q16" i="1" s="1"/>
  <c r="L17" i="1"/>
  <c r="M17" i="1" s="1"/>
  <c r="Q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De Looze</author>
    <author>VWVmedewerker</author>
  </authors>
  <commentList>
    <comment ref="A6" authorId="0" shapeId="0" xr:uid="{00000000-0006-0000-0000-000001000000}">
      <text>
        <r>
          <rPr>
            <b/>
            <sz val="9"/>
            <color indexed="81"/>
            <rFont val="Tahoma"/>
            <family val="2"/>
          </rPr>
          <t>Steven De Looze:</t>
        </r>
        <r>
          <rPr>
            <sz val="9"/>
            <color indexed="81"/>
            <rFont val="Tahoma"/>
            <family val="2"/>
          </rPr>
          <t xml:space="preserve">
VIA 6</t>
        </r>
      </text>
    </comment>
    <comment ref="N6" authorId="1" shapeId="0" xr:uid="{4E218C12-D14D-4A96-85C0-8E410276AEEF}">
      <text>
        <r>
          <rPr>
            <b/>
            <sz val="9"/>
            <color indexed="81"/>
            <rFont val="Tahoma"/>
            <family val="2"/>
          </rPr>
          <t>VWVmedewerker:</t>
        </r>
        <r>
          <rPr>
            <sz val="9"/>
            <color indexed="81"/>
            <rFont val="Tahoma"/>
            <family val="2"/>
          </rPr>
          <t xml:space="preserve">
Aandeel Sociale Maribel na VIA 6</t>
        </r>
      </text>
    </comment>
    <comment ref="A8" authorId="0" shapeId="0" xr:uid="{C1B3B137-C385-4C8B-9416-B5536722ADDE}">
      <text>
        <r>
          <rPr>
            <b/>
            <sz val="9"/>
            <color indexed="81"/>
            <rFont val="Tahoma"/>
            <family val="2"/>
          </rPr>
          <t>Steven De Looze:</t>
        </r>
        <r>
          <rPr>
            <sz val="9"/>
            <color indexed="81"/>
            <rFont val="Tahoma"/>
            <family val="2"/>
          </rPr>
          <t xml:space="preserve">
VIA 6 correctiereserve</t>
        </r>
      </text>
    </comment>
    <comment ref="F15" authorId="0" shapeId="0" xr:uid="{D6944D93-DEDB-43C7-A385-DF0965EC19EE}">
      <text>
        <r>
          <rPr>
            <b/>
            <sz val="9"/>
            <color indexed="81"/>
            <rFont val="Tahoma"/>
            <family val="2"/>
          </rPr>
          <t>Steven De Looze:</t>
        </r>
        <r>
          <rPr>
            <sz val="9"/>
            <color indexed="81"/>
            <rFont val="Tahoma"/>
            <family val="2"/>
          </rPr>
          <t xml:space="preserve">
Andere indexformule n.a.v. CAO werknemersstatuut van 6/11/2023.
Start bij bedrag op 1/01/2023 en vanaf daar verder indexeren.</t>
        </r>
      </text>
    </comment>
    <comment ref="G15" authorId="0" shapeId="0" xr:uid="{1C0AB54A-77B4-442A-B71F-F7788A644D8E}">
      <text>
        <r>
          <rPr>
            <b/>
            <sz val="9"/>
            <color indexed="81"/>
            <rFont val="Tahoma"/>
            <family val="2"/>
          </rPr>
          <t>Steven De Looze:</t>
        </r>
        <r>
          <rPr>
            <sz val="9"/>
            <color indexed="81"/>
            <rFont val="Tahoma"/>
            <family val="2"/>
          </rPr>
          <t xml:space="preserve">
Andere indexformule n.a.v. CAO werknemersstatuut van 6/11/2023.
Start bij bedrag op 1/01/2023 en vanaf daar verder indexeren.</t>
        </r>
      </text>
    </comment>
    <comment ref="A16" authorId="0" shapeId="0" xr:uid="{E821DF4D-B1B6-448F-9F57-E6D141A63783}">
      <text>
        <r>
          <rPr>
            <b/>
            <sz val="9"/>
            <color indexed="81"/>
            <rFont val="Tahoma"/>
            <family val="2"/>
          </rPr>
          <t>Steven De Looze:</t>
        </r>
        <r>
          <rPr>
            <sz val="9"/>
            <color indexed="81"/>
            <rFont val="Tahoma"/>
            <family val="2"/>
          </rPr>
          <t xml:space="preserve">
Verhoging prestatiesubsidie</t>
        </r>
      </text>
    </comment>
    <comment ref="F16" authorId="0" shapeId="0" xr:uid="{027EB0D5-BD3F-400B-8613-0996748F0968}">
      <text>
        <r>
          <rPr>
            <b/>
            <sz val="9"/>
            <color indexed="81"/>
            <rFont val="Tahoma"/>
            <family val="2"/>
          </rPr>
          <t>Steven De Looze:</t>
        </r>
        <r>
          <rPr>
            <sz val="9"/>
            <color indexed="81"/>
            <rFont val="Tahoma"/>
            <family val="2"/>
          </rPr>
          <t xml:space="preserve">
Vast gedeelte omkostenvergoeding opnieuw met formule = (bruto maandloon x 20%) X 12 maanden / 365 dagen</t>
        </r>
      </text>
    </comment>
    <comment ref="M17" authorId="0" shapeId="0" xr:uid="{62CA28F1-A545-4F65-B3EF-E576B8F045A2}">
      <text>
        <r>
          <rPr>
            <b/>
            <sz val="9"/>
            <color indexed="81"/>
            <rFont val="Tahoma"/>
            <family val="2"/>
          </rPr>
          <t>Steven De Looze:</t>
        </r>
        <r>
          <rPr>
            <sz val="9"/>
            <color indexed="81"/>
            <rFont val="Tahoma"/>
            <family val="2"/>
          </rPr>
          <t xml:space="preserve">
Bedrag van toepassing voor VTE van vóór oproep uitbreiding in mei 2024.
Voor nieuwe VTE privaat n.a.v. oproep in mei 2024 geldt dezelfde subsidie als publieke sector en volledig betaald vanuit Opgroeien.</t>
        </r>
      </text>
    </comment>
    <comment ref="M18" authorId="0" shapeId="0" xr:uid="{E29B75A2-7F43-4C5A-9556-1BCCC5394FD5}">
      <text>
        <r>
          <rPr>
            <b/>
            <sz val="9"/>
            <color indexed="81"/>
            <rFont val="Tahoma"/>
            <family val="2"/>
          </rPr>
          <t>Steven De Looze:</t>
        </r>
        <r>
          <rPr>
            <sz val="9"/>
            <color indexed="81"/>
            <rFont val="Tahoma"/>
            <family val="2"/>
          </rPr>
          <t xml:space="preserve">
Bedrag van toepassing voor VTE van vóór oproep uitbreiding in mei 2024.
Voor nieuwe VTE privaat n.a.v. oproep in mei 2024 geldt dezelfde subsidie als publieke sector en volledig betaald vanuit Opgroeien.</t>
        </r>
      </text>
    </comment>
    <comment ref="A19" authorId="0" shapeId="0" xr:uid="{7B43E834-AD46-4136-8E32-EBBAE1F29506}">
      <text>
        <r>
          <rPr>
            <b/>
            <sz val="9"/>
            <color indexed="81"/>
            <rFont val="Tahoma"/>
            <charset val="1"/>
          </rPr>
          <t>Steven De Looze:</t>
        </r>
        <r>
          <rPr>
            <sz val="9"/>
            <color indexed="81"/>
            <rFont val="Tahoma"/>
            <charset val="1"/>
          </rPr>
          <t xml:space="preserve">
Informatief 2025/158: CAO werknemersstatuut kinderbegeleider in de gezinsopvang verlengd
=&gt; Start indexatie aan 100%</t>
        </r>
      </text>
    </comment>
  </commentList>
</comments>
</file>

<file path=xl/sharedStrings.xml><?xml version="1.0" encoding="utf-8"?>
<sst xmlns="http://schemas.openxmlformats.org/spreadsheetml/2006/main" count="16" uniqueCount="15">
  <si>
    <t>Werknemersstatuut loonelementen</t>
  </si>
  <si>
    <t>Werknemersstatuut subsidie</t>
  </si>
  <si>
    <t>datum</t>
  </si>
  <si>
    <t>spilindex</t>
  </si>
  <si>
    <t>jaarloon</t>
  </si>
  <si>
    <t>maandloon</t>
  </si>
  <si>
    <t>vaste onkosten-vergoeding</t>
  </si>
  <si>
    <t>variabele onkosten-vergoeding</t>
  </si>
  <si>
    <t>index</t>
  </si>
  <si>
    <t>Opgroeien</t>
  </si>
  <si>
    <t>Sociale Maribel</t>
  </si>
  <si>
    <t>Totaal</t>
  </si>
  <si>
    <t>Subsidie publieke sector</t>
  </si>
  <si>
    <t>Verschil privaat - publiek</t>
  </si>
  <si>
    <t>uurloon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</si>
</sst>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4" fontId="0" fillId="0" borderId="0" xfId="0" applyNumberFormat="1"/>
    <xf numFmtId="4" fontId="0" fillId="0" borderId="2" xfId="0" applyNumberFormat="1" applyBorder="1"/>
    <xf numFmtId="0" fontId="2" fillId="0" borderId="3" xfId="0" applyFont="1" applyBorder="1" applyAlignment="1">
      <alignment horizontal="center" vertical="center"/>
    </xf>
    <xf numFmtId="4" fontId="0" fillId="0" borderId="2" xfId="0" applyNumberFormat="1" applyBorder="1" applyAlignment="1">
      <alignment vertical="center"/>
    </xf>
    <xf numFmtId="4" fontId="0" fillId="0" borderId="1" xfId="0" applyNumberFormat="1" applyBorder="1" applyAlignment="1">
      <alignment vertical="center"/>
    </xf>
    <xf numFmtId="4" fontId="2" fillId="0" borderId="5"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4" xfId="0" applyNumberFormat="1" applyFont="1" applyBorder="1" applyAlignment="1">
      <alignment horizontal="center" vertical="center"/>
    </xf>
    <xf numFmtId="164" fontId="0" fillId="0" borderId="0" xfId="0" applyNumberFormat="1"/>
    <xf numFmtId="164" fontId="3" fillId="0" borderId="3" xfId="0" applyNumberFormat="1" applyFont="1" applyBorder="1" applyAlignment="1">
      <alignment horizontal="center" vertical="center"/>
    </xf>
    <xf numFmtId="4" fontId="0" fillId="0" borderId="1" xfId="0" applyNumberFormat="1" applyBorder="1"/>
    <xf numFmtId="164" fontId="2" fillId="0" borderId="3" xfId="0" applyNumberFormat="1" applyFont="1" applyBorder="1" applyAlignment="1">
      <alignment horizontal="center" vertical="center" wrapText="1"/>
    </xf>
    <xf numFmtId="2" fontId="0" fillId="0" borderId="2" xfId="0" applyNumberFormat="1" applyBorder="1" applyAlignment="1">
      <alignment vertical="center"/>
    </xf>
    <xf numFmtId="2" fontId="0" fillId="0" borderId="1" xfId="0" applyNumberFormat="1" applyBorder="1" applyAlignment="1">
      <alignment vertical="center"/>
    </xf>
    <xf numFmtId="14" fontId="0" fillId="0" borderId="2" xfId="0" applyNumberFormat="1" applyBorder="1"/>
    <xf numFmtId="10" fontId="2" fillId="0" borderId="3" xfId="1" applyNumberFormat="1" applyFont="1" applyBorder="1" applyAlignment="1">
      <alignment horizontal="center" vertical="center"/>
    </xf>
    <xf numFmtId="0" fontId="2" fillId="0" borderId="3" xfId="0" applyFont="1" applyBorder="1" applyAlignment="1">
      <alignment horizontal="center" vertical="center" wrapText="1"/>
    </xf>
    <xf numFmtId="14" fontId="0" fillId="0" borderId="1" xfId="0" applyNumberFormat="1" applyBorder="1"/>
    <xf numFmtId="4" fontId="3" fillId="0" borderId="1" xfId="0" applyNumberFormat="1" applyFont="1" applyBorder="1" applyAlignment="1">
      <alignment vertical="center"/>
    </xf>
    <xf numFmtId="4" fontId="3" fillId="0" borderId="2" xfId="0" applyNumberFormat="1" applyFont="1" applyBorder="1" applyAlignment="1">
      <alignment vertical="center"/>
    </xf>
    <xf numFmtId="14" fontId="0" fillId="2" borderId="1" xfId="0" applyNumberFormat="1" applyFill="1" applyBorder="1" applyAlignment="1">
      <alignment horizontal="center" vertical="center"/>
    </xf>
    <xf numFmtId="14" fontId="0" fillId="2" borderId="2" xfId="0" applyNumberFormat="1" applyFill="1" applyBorder="1" applyAlignment="1">
      <alignment horizontal="center" vertical="center"/>
    </xf>
    <xf numFmtId="164" fontId="3" fillId="2" borderId="1" xfId="0" applyNumberFormat="1" applyFont="1" applyFill="1" applyBorder="1" applyAlignment="1">
      <alignment vertical="center"/>
    </xf>
    <xf numFmtId="164" fontId="3" fillId="2" borderId="2" xfId="0" applyNumberFormat="1" applyFont="1" applyFill="1" applyBorder="1" applyAlignment="1">
      <alignment vertical="center"/>
    </xf>
    <xf numFmtId="164" fontId="4" fillId="2" borderId="2" xfId="0" applyNumberFormat="1" applyFont="1" applyFill="1" applyBorder="1" applyProtection="1">
      <protection locked="0"/>
    </xf>
    <xf numFmtId="10" fontId="0" fillId="0" borderId="0" xfId="1" applyNumberFormat="1" applyFont="1"/>
    <xf numFmtId="4" fontId="3" fillId="0" borderId="0" xfId="0" applyNumberFormat="1" applyFont="1"/>
    <xf numFmtId="0" fontId="3" fillId="0" borderId="0" xfId="0" applyFont="1" applyAlignment="1">
      <alignment horizontal="center" vertical="center" wrapText="1"/>
    </xf>
    <xf numFmtId="165" fontId="0" fillId="0" borderId="1" xfId="0" applyNumberFormat="1" applyBorder="1" applyAlignment="1">
      <alignment vertical="center"/>
    </xf>
    <xf numFmtId="165" fontId="0" fillId="0" borderId="2" xfId="0" applyNumberForma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0"/>
  <sheetViews>
    <sheetView tabSelected="1" zoomScaleNormal="100" workbookViewId="0">
      <pane ySplit="3" topLeftCell="A4" activePane="bottomLeft" state="frozen"/>
      <selection pane="bottomLeft" activeCell="B4" sqref="B4"/>
    </sheetView>
  </sheetViews>
  <sheetFormatPr defaultColWidth="9.109375" defaultRowHeight="14.4" x14ac:dyDescent="0.3"/>
  <cols>
    <col min="1" max="1" width="12.6640625" customWidth="1"/>
    <col min="2" max="5" width="12.6640625" style="1" customWidth="1"/>
    <col min="6" max="8" width="12.6640625" style="9" customWidth="1"/>
    <col min="9" max="9" width="5.6640625" customWidth="1"/>
    <col min="10" max="10" width="12.6640625" customWidth="1"/>
    <col min="11" max="11" width="12.6640625" style="1" customWidth="1"/>
    <col min="12" max="13" width="12.6640625" customWidth="1"/>
    <col min="16" max="16" width="11" customWidth="1"/>
    <col min="17" max="17" width="10.44140625" customWidth="1"/>
  </cols>
  <sheetData>
    <row r="2" spans="1:17" x14ac:dyDescent="0.3">
      <c r="A2" s="31" t="s">
        <v>0</v>
      </c>
      <c r="B2" s="31"/>
      <c r="C2" s="31"/>
      <c r="D2" s="31"/>
      <c r="E2" s="31"/>
      <c r="F2" s="31"/>
      <c r="G2" s="31"/>
      <c r="H2" s="31"/>
      <c r="J2" s="32" t="s">
        <v>1</v>
      </c>
      <c r="K2" s="33"/>
      <c r="L2" s="33"/>
      <c r="M2" s="34"/>
    </row>
    <row r="3" spans="1:17" ht="43.2" x14ac:dyDescent="0.3">
      <c r="A3" s="3" t="s">
        <v>2</v>
      </c>
      <c r="B3" s="6" t="s">
        <v>3</v>
      </c>
      <c r="C3" s="7" t="s">
        <v>4</v>
      </c>
      <c r="D3" s="8" t="s">
        <v>5</v>
      </c>
      <c r="E3" s="8" t="s">
        <v>14</v>
      </c>
      <c r="F3" s="12" t="s">
        <v>6</v>
      </c>
      <c r="G3" s="12" t="s">
        <v>7</v>
      </c>
      <c r="H3" s="10" t="s">
        <v>8</v>
      </c>
      <c r="J3" s="3" t="s">
        <v>2</v>
      </c>
      <c r="K3" s="16" t="s">
        <v>9</v>
      </c>
      <c r="L3" s="17" t="s">
        <v>10</v>
      </c>
      <c r="M3" s="17" t="s">
        <v>11</v>
      </c>
      <c r="P3" s="17" t="s">
        <v>12</v>
      </c>
      <c r="Q3" s="28" t="s">
        <v>13</v>
      </c>
    </row>
    <row r="4" spans="1:17" x14ac:dyDescent="0.3">
      <c r="A4" s="21">
        <v>43466</v>
      </c>
      <c r="B4" s="19">
        <v>105.1</v>
      </c>
      <c r="C4" s="4">
        <f>16244.56*H4</f>
        <v>21863.553304000001</v>
      </c>
      <c r="D4" s="5">
        <f t="shared" ref="D4:D10" si="0">C4/12</f>
        <v>1821.9627753333334</v>
      </c>
      <c r="E4" s="29">
        <f>C4/1976</f>
        <v>11.064551267206479</v>
      </c>
      <c r="F4" s="14">
        <f>D4*20%*12/365</f>
        <v>11.980029207671233</v>
      </c>
      <c r="G4" s="14">
        <f>3.5*1.02</f>
        <v>3.5700000000000003</v>
      </c>
      <c r="H4" s="23">
        <f>ROUND(1.02^15,4)</f>
        <v>1.3459000000000001</v>
      </c>
      <c r="J4" s="18">
        <f t="shared" ref="J4:J5" si="1">A4</f>
        <v>43466</v>
      </c>
      <c r="K4" s="11">
        <v>13516.14</v>
      </c>
      <c r="L4" s="11">
        <v>4108.8899999999994</v>
      </c>
      <c r="M4" s="11">
        <f t="shared" ref="M4:M10" si="2">K4+L4</f>
        <v>17625.03</v>
      </c>
      <c r="P4" s="2">
        <v>17625.03</v>
      </c>
      <c r="Q4" s="27">
        <f t="shared" ref="Q4:Q13" si="3">P4-M4</f>
        <v>0</v>
      </c>
    </row>
    <row r="5" spans="1:17" x14ac:dyDescent="0.3">
      <c r="A5" s="22">
        <v>43922</v>
      </c>
      <c r="B5" s="20">
        <v>107.2</v>
      </c>
      <c r="C5" s="4">
        <f>16244.56*H5</f>
        <v>22300.531967999999</v>
      </c>
      <c r="D5" s="4">
        <f t="shared" si="0"/>
        <v>1858.3776639999999</v>
      </c>
      <c r="E5" s="30">
        <f t="shared" ref="E5:E16" si="4">C5/1976</f>
        <v>11.285694315789474</v>
      </c>
      <c r="F5" s="13">
        <f>D5*20%*12/365</f>
        <v>12.219469571506849</v>
      </c>
      <c r="G5" s="13">
        <f>G4*1.02</f>
        <v>3.6414000000000004</v>
      </c>
      <c r="H5" s="24">
        <f>ROUND(1.02^16,4)</f>
        <v>1.3728</v>
      </c>
      <c r="J5" s="15">
        <f t="shared" si="1"/>
        <v>43922</v>
      </c>
      <c r="K5" s="2">
        <f>K4*1.02</f>
        <v>13786.462799999999</v>
      </c>
      <c r="L5" s="2">
        <v>4108.8899999999994</v>
      </c>
      <c r="M5" s="2">
        <f t="shared" si="2"/>
        <v>17895.352800000001</v>
      </c>
      <c r="P5" s="2">
        <v>17977.53</v>
      </c>
      <c r="Q5" s="27">
        <f t="shared" si="3"/>
        <v>82.177199999998265</v>
      </c>
    </row>
    <row r="6" spans="1:17" x14ac:dyDescent="0.3">
      <c r="A6" s="22">
        <v>44317</v>
      </c>
      <c r="B6" s="20">
        <v>107.2</v>
      </c>
      <c r="C6" s="4">
        <v>22679.64</v>
      </c>
      <c r="D6" s="4">
        <f t="shared" si="0"/>
        <v>1889.97</v>
      </c>
      <c r="E6" s="30">
        <f t="shared" si="4"/>
        <v>11.47755060728745</v>
      </c>
      <c r="F6" s="13">
        <f>D6*20%*12/365</f>
        <v>12.427199999999999</v>
      </c>
      <c r="G6" s="13">
        <f>G5</f>
        <v>3.6414000000000004</v>
      </c>
      <c r="H6" s="24">
        <v>1</v>
      </c>
      <c r="J6" s="15">
        <f>A6</f>
        <v>44317</v>
      </c>
      <c r="K6" s="2">
        <v>14698.54</v>
      </c>
      <c r="L6" s="2">
        <f>18410-K6</f>
        <v>3711.4599999999991</v>
      </c>
      <c r="M6" s="2">
        <f t="shared" si="2"/>
        <v>18410</v>
      </c>
      <c r="N6" s="26">
        <f>L6/M6</f>
        <v>0.20160021727322103</v>
      </c>
      <c r="P6" s="2">
        <v>18410</v>
      </c>
      <c r="Q6" s="27">
        <f t="shared" si="3"/>
        <v>0</v>
      </c>
    </row>
    <row r="7" spans="1:17" x14ac:dyDescent="0.3">
      <c r="A7" s="22">
        <v>44470</v>
      </c>
      <c r="B7" s="20">
        <v>109.34</v>
      </c>
      <c r="C7" s="4">
        <f>$C$6*H7</f>
        <v>23133.232800000002</v>
      </c>
      <c r="D7" s="4">
        <f t="shared" si="0"/>
        <v>1927.7694000000001</v>
      </c>
      <c r="E7" s="30">
        <f t="shared" si="4"/>
        <v>11.7071016194332</v>
      </c>
      <c r="F7" s="13">
        <f>D7*20%*12/365</f>
        <v>12.675744000000003</v>
      </c>
      <c r="G7" s="13">
        <f>$G$6*H7</f>
        <v>3.7142280000000003</v>
      </c>
      <c r="H7" s="25">
        <f>ROUND(1.02^1,4)</f>
        <v>1.02</v>
      </c>
      <c r="J7" s="15">
        <f t="shared" ref="J7:J9" si="5">A7</f>
        <v>44470</v>
      </c>
      <c r="K7" s="2">
        <f>ROUND(K6*1.02,2)</f>
        <v>14992.51</v>
      </c>
      <c r="L7" s="2">
        <f t="shared" ref="L7:L16" si="6">L6</f>
        <v>3711.4599999999991</v>
      </c>
      <c r="M7" s="2">
        <f t="shared" si="2"/>
        <v>18703.97</v>
      </c>
      <c r="P7" s="2">
        <f>ROUND(P6*1.02,2)</f>
        <v>18778.2</v>
      </c>
      <c r="Q7" s="27">
        <f t="shared" si="3"/>
        <v>74.229999999999563</v>
      </c>
    </row>
    <row r="8" spans="1:17" x14ac:dyDescent="0.3">
      <c r="A8" s="22">
        <v>44562</v>
      </c>
      <c r="B8" s="20">
        <v>109.34</v>
      </c>
      <c r="C8" s="4">
        <v>23133.23</v>
      </c>
      <c r="D8" s="4">
        <f t="shared" si="0"/>
        <v>1927.7691666666667</v>
      </c>
      <c r="E8" s="30">
        <f t="shared" si="4"/>
        <v>11.70710020242915</v>
      </c>
      <c r="F8" s="13">
        <f>D8*20%*12/365</f>
        <v>12.675742465753427</v>
      </c>
      <c r="G8" s="13">
        <f>G7</f>
        <v>3.7142280000000003</v>
      </c>
      <c r="H8" s="25">
        <v>1</v>
      </c>
      <c r="J8" s="15">
        <f t="shared" si="5"/>
        <v>44562</v>
      </c>
      <c r="K8" s="2">
        <f>K7</f>
        <v>14992.51</v>
      </c>
      <c r="L8" s="2">
        <f t="shared" si="6"/>
        <v>3711.4599999999991</v>
      </c>
      <c r="M8" s="2">
        <f t="shared" si="2"/>
        <v>18703.97</v>
      </c>
      <c r="P8" s="2">
        <f>P7</f>
        <v>18778.2</v>
      </c>
      <c r="Q8" s="27">
        <f t="shared" si="3"/>
        <v>74.229999999999563</v>
      </c>
    </row>
    <row r="9" spans="1:17" x14ac:dyDescent="0.3">
      <c r="A9" s="22">
        <v>44593</v>
      </c>
      <c r="B9" s="20">
        <v>111.53</v>
      </c>
      <c r="C9" s="4">
        <f t="shared" ref="C9:C14" si="7">$C$8*H9</f>
        <v>23595.8946</v>
      </c>
      <c r="D9" s="4">
        <f t="shared" si="0"/>
        <v>1966.32455</v>
      </c>
      <c r="E9" s="30">
        <f t="shared" si="4"/>
        <v>11.941242206477733</v>
      </c>
      <c r="F9" s="13">
        <f t="shared" ref="F9" si="8">D9*20%*12/365</f>
        <v>12.929257315068494</v>
      </c>
      <c r="G9" s="13">
        <f t="shared" ref="G9:G14" si="9">$G$8*H9</f>
        <v>3.7885125600000005</v>
      </c>
      <c r="H9" s="25">
        <f>ROUND(1.02^1,4)</f>
        <v>1.02</v>
      </c>
      <c r="J9" s="15">
        <f t="shared" si="5"/>
        <v>44593</v>
      </c>
      <c r="K9" s="2">
        <f t="shared" ref="K9:K14" si="10">ROUND(K8*1.02,2)</f>
        <v>15292.36</v>
      </c>
      <c r="L9" s="2">
        <f t="shared" si="6"/>
        <v>3711.4599999999991</v>
      </c>
      <c r="M9" s="2">
        <f t="shared" si="2"/>
        <v>19003.82</v>
      </c>
      <c r="P9" s="2">
        <f t="shared" ref="P9:P14" si="11">ROUND(P8*1.02,2)</f>
        <v>19153.759999999998</v>
      </c>
      <c r="Q9" s="27">
        <f t="shared" si="3"/>
        <v>149.93999999999869</v>
      </c>
    </row>
    <row r="10" spans="1:17" x14ac:dyDescent="0.3">
      <c r="A10" s="22">
        <v>44652</v>
      </c>
      <c r="B10" s="20">
        <v>113.76</v>
      </c>
      <c r="C10" s="4">
        <f t="shared" si="7"/>
        <v>24067.812492000001</v>
      </c>
      <c r="D10" s="4">
        <f t="shared" si="0"/>
        <v>2005.6510410000001</v>
      </c>
      <c r="E10" s="30">
        <f t="shared" si="4"/>
        <v>12.180067050607288</v>
      </c>
      <c r="F10" s="13">
        <f>D10*20%*12/365</f>
        <v>13.187842461369865</v>
      </c>
      <c r="G10" s="13">
        <f t="shared" si="9"/>
        <v>3.8642828112000003</v>
      </c>
      <c r="H10" s="25">
        <f>ROUND(1.02^2,4)</f>
        <v>1.0404</v>
      </c>
      <c r="J10" s="15">
        <f t="shared" ref="J10" si="12">A10</f>
        <v>44652</v>
      </c>
      <c r="K10" s="2">
        <f t="shared" si="10"/>
        <v>15598.21</v>
      </c>
      <c r="L10" s="2">
        <f t="shared" si="6"/>
        <v>3711.4599999999991</v>
      </c>
      <c r="M10" s="2">
        <f t="shared" si="2"/>
        <v>19309.669999999998</v>
      </c>
      <c r="P10" s="2">
        <f t="shared" si="11"/>
        <v>19536.84</v>
      </c>
      <c r="Q10" s="27">
        <f t="shared" si="3"/>
        <v>227.17000000000189</v>
      </c>
    </row>
    <row r="11" spans="1:17" x14ac:dyDescent="0.3">
      <c r="A11" s="22">
        <v>44713</v>
      </c>
      <c r="B11" s="20">
        <v>116.04</v>
      </c>
      <c r="C11" s="4">
        <f t="shared" si="7"/>
        <v>24548.983675999996</v>
      </c>
      <c r="D11" s="4">
        <f t="shared" ref="D11" si="13">C11/12</f>
        <v>2045.7486396666663</v>
      </c>
      <c r="E11" s="30">
        <f t="shared" si="4"/>
        <v>12.423574734817812</v>
      </c>
      <c r="F11" s="13">
        <f>D11*20%*12/365</f>
        <v>13.451497904657533</v>
      </c>
      <c r="G11" s="13">
        <f t="shared" si="9"/>
        <v>3.9415387536000002</v>
      </c>
      <c r="H11" s="25">
        <f>ROUND(1.02^3,4)</f>
        <v>1.0611999999999999</v>
      </c>
      <c r="J11" s="15">
        <f t="shared" ref="J11" si="14">A11</f>
        <v>44713</v>
      </c>
      <c r="K11" s="2">
        <f t="shared" si="10"/>
        <v>15910.17</v>
      </c>
      <c r="L11" s="2">
        <f t="shared" si="6"/>
        <v>3711.4599999999991</v>
      </c>
      <c r="M11" s="2">
        <f t="shared" ref="M11" si="15">K11+L11</f>
        <v>19621.629999999997</v>
      </c>
      <c r="P11" s="2">
        <f t="shared" si="11"/>
        <v>19927.580000000002</v>
      </c>
      <c r="Q11" s="27">
        <f t="shared" si="3"/>
        <v>305.95000000000437</v>
      </c>
    </row>
    <row r="12" spans="1:17" x14ac:dyDescent="0.3">
      <c r="A12" s="22">
        <v>44805</v>
      </c>
      <c r="B12" s="20">
        <v>118.36</v>
      </c>
      <c r="C12" s="4">
        <f t="shared" si="7"/>
        <v>25039.408152</v>
      </c>
      <c r="D12" s="4">
        <f t="shared" ref="D12" si="16">C12/12</f>
        <v>2086.617346</v>
      </c>
      <c r="E12" s="30">
        <f t="shared" si="4"/>
        <v>12.671765259109312</v>
      </c>
      <c r="F12" s="13">
        <f>D12*20%*12/365</f>
        <v>13.720223644931508</v>
      </c>
      <c r="G12" s="13">
        <f t="shared" si="9"/>
        <v>4.0202803872000006</v>
      </c>
      <c r="H12" s="25">
        <f>ROUND(1.02^4,4)</f>
        <v>1.0824</v>
      </c>
      <c r="J12" s="15">
        <f t="shared" ref="J12" si="17">A12</f>
        <v>44805</v>
      </c>
      <c r="K12" s="2">
        <f t="shared" si="10"/>
        <v>16228.37</v>
      </c>
      <c r="L12" s="2">
        <f t="shared" si="6"/>
        <v>3711.4599999999991</v>
      </c>
      <c r="M12" s="2">
        <f t="shared" ref="M12" si="18">K12+L12</f>
        <v>19939.830000000002</v>
      </c>
      <c r="P12" s="2">
        <f t="shared" si="11"/>
        <v>20326.13</v>
      </c>
      <c r="Q12" s="27">
        <f t="shared" si="3"/>
        <v>386.29999999999927</v>
      </c>
    </row>
    <row r="13" spans="1:17" x14ac:dyDescent="0.3">
      <c r="A13" s="22">
        <v>44896</v>
      </c>
      <c r="B13" s="20">
        <v>120.73</v>
      </c>
      <c r="C13" s="4">
        <f t="shared" si="7"/>
        <v>25541.399243</v>
      </c>
      <c r="D13" s="4">
        <f t="shared" ref="D13:D18" si="19">C13/12</f>
        <v>2128.4499369166665</v>
      </c>
      <c r="E13" s="30">
        <f t="shared" si="4"/>
        <v>12.925809333502023</v>
      </c>
      <c r="F13" s="13">
        <f>D13*20%*12/365</f>
        <v>13.995287256438356</v>
      </c>
      <c r="G13" s="13">
        <f t="shared" si="9"/>
        <v>4.1008791348000004</v>
      </c>
      <c r="H13" s="25">
        <f>ROUND(1.02^5,4)</f>
        <v>1.1041000000000001</v>
      </c>
      <c r="J13" s="15">
        <f t="shared" ref="J13" si="20">A13</f>
        <v>44896</v>
      </c>
      <c r="K13" s="2">
        <f t="shared" si="10"/>
        <v>16552.939999999999</v>
      </c>
      <c r="L13" s="2">
        <f t="shared" si="6"/>
        <v>3711.4599999999991</v>
      </c>
      <c r="M13" s="2">
        <f t="shared" ref="M13:M18" si="21">K13+L13</f>
        <v>20264.399999999998</v>
      </c>
      <c r="P13" s="2">
        <f t="shared" si="11"/>
        <v>20732.650000000001</v>
      </c>
      <c r="Q13" s="27">
        <f t="shared" si="3"/>
        <v>468.25000000000364</v>
      </c>
    </row>
    <row r="14" spans="1:17" x14ac:dyDescent="0.3">
      <c r="A14" s="22">
        <v>44927</v>
      </c>
      <c r="B14" s="20">
        <v>123.14</v>
      </c>
      <c r="C14" s="4">
        <f t="shared" si="7"/>
        <v>26052.643626000001</v>
      </c>
      <c r="D14" s="4">
        <f t="shared" si="19"/>
        <v>2171.0536354999999</v>
      </c>
      <c r="E14" s="30">
        <f t="shared" si="4"/>
        <v>13.184536247975709</v>
      </c>
      <c r="F14" s="13">
        <f>D14*20%*12/365</f>
        <v>14.275421164931506</v>
      </c>
      <c r="G14" s="13">
        <f t="shared" si="9"/>
        <v>4.1829635736000004</v>
      </c>
      <c r="H14" s="25">
        <f>ROUND(1.02^6,4)</f>
        <v>1.1262000000000001</v>
      </c>
      <c r="J14" s="15">
        <f t="shared" ref="J14" si="22">A14</f>
        <v>44927</v>
      </c>
      <c r="K14" s="2">
        <f t="shared" si="10"/>
        <v>16884</v>
      </c>
      <c r="L14" s="2">
        <f t="shared" si="6"/>
        <v>3711.4599999999991</v>
      </c>
      <c r="M14" s="2">
        <f t="shared" si="21"/>
        <v>20595.46</v>
      </c>
      <c r="P14" s="2">
        <f t="shared" si="11"/>
        <v>21147.3</v>
      </c>
      <c r="Q14" s="27">
        <f t="shared" ref="Q14:Q19" si="23">P14-M14</f>
        <v>551.84000000000015</v>
      </c>
    </row>
    <row r="15" spans="1:17" x14ac:dyDescent="0.3">
      <c r="A15" s="22">
        <v>45261</v>
      </c>
      <c r="B15" s="20">
        <v>125.6</v>
      </c>
      <c r="C15" s="4">
        <f>$C$8*H15</f>
        <v>26573.141301</v>
      </c>
      <c r="D15" s="4">
        <f t="shared" si="19"/>
        <v>2214.4284417499998</v>
      </c>
      <c r="E15" s="30">
        <f t="shared" si="4"/>
        <v>13.447946002530363</v>
      </c>
      <c r="F15" s="13">
        <f>14.28*ROUND(1.02^1,4)</f>
        <v>14.5656</v>
      </c>
      <c r="G15" s="13">
        <f>4.18*ROUND(1.02^1,4)</f>
        <v>4.2635999999999994</v>
      </c>
      <c r="H15" s="25">
        <f>ROUND(1.02^7,4)</f>
        <v>1.1487000000000001</v>
      </c>
      <c r="J15" s="15">
        <f t="shared" ref="J15" si="24">A15</f>
        <v>45261</v>
      </c>
      <c r="K15" s="2">
        <f>ROUND(K14*1.02,2)</f>
        <v>17221.68</v>
      </c>
      <c r="L15" s="2">
        <f t="shared" si="6"/>
        <v>3711.4599999999991</v>
      </c>
      <c r="M15" s="2">
        <f t="shared" si="21"/>
        <v>20933.14</v>
      </c>
      <c r="P15" s="2">
        <f>ROUND(P14*1.02,2)</f>
        <v>21570.25</v>
      </c>
      <c r="Q15" s="27">
        <f t="shared" si="23"/>
        <v>637.11000000000058</v>
      </c>
    </row>
    <row r="16" spans="1:17" x14ac:dyDescent="0.3">
      <c r="A16" s="22">
        <v>45292</v>
      </c>
      <c r="B16" s="20">
        <v>125.6</v>
      </c>
      <c r="C16" s="4">
        <v>27739.39</v>
      </c>
      <c r="D16" s="4">
        <f t="shared" si="19"/>
        <v>2311.6158333333333</v>
      </c>
      <c r="E16" s="30">
        <f t="shared" si="4"/>
        <v>14.038152834008097</v>
      </c>
      <c r="F16" s="13">
        <f>D16*20%*12/365</f>
        <v>15.199665753424659</v>
      </c>
      <c r="G16" s="13">
        <f>4.18*ROUND(1.02^1,4)</f>
        <v>4.2635999999999994</v>
      </c>
      <c r="H16" s="25">
        <v>1</v>
      </c>
      <c r="J16" s="15">
        <f t="shared" ref="J16" si="25">A16</f>
        <v>45292</v>
      </c>
      <c r="K16" s="2">
        <f>ROUND(K14*1.02,2)</f>
        <v>17221.68</v>
      </c>
      <c r="L16" s="2">
        <f t="shared" si="6"/>
        <v>3711.4599999999991</v>
      </c>
      <c r="M16" s="2">
        <f t="shared" si="21"/>
        <v>20933.14</v>
      </c>
      <c r="P16" s="2">
        <f>ROUND(P14*1.02,2)</f>
        <v>21570.25</v>
      </c>
      <c r="Q16" s="27">
        <f t="shared" si="23"/>
        <v>637.11000000000058</v>
      </c>
    </row>
    <row r="17" spans="1:17" x14ac:dyDescent="0.3">
      <c r="A17" s="22">
        <v>45444</v>
      </c>
      <c r="B17" s="20">
        <v>128.11000000000001</v>
      </c>
      <c r="C17" s="4">
        <f>$C$16*H17</f>
        <v>28294.177800000001</v>
      </c>
      <c r="D17" s="4">
        <f t="shared" si="19"/>
        <v>2357.8481500000003</v>
      </c>
      <c r="E17" s="30">
        <f>C17/1976</f>
        <v>14.31891589068826</v>
      </c>
      <c r="F17" s="13">
        <f>D17*20%*12/365</f>
        <v>15.503659068493155</v>
      </c>
      <c r="G17" s="13">
        <f>$G$16*H17</f>
        <v>4.3488719999999992</v>
      </c>
      <c r="H17" s="25">
        <f>ROUND(1.02^1,4)</f>
        <v>1.02</v>
      </c>
      <c r="J17" s="15">
        <f>A17</f>
        <v>45444</v>
      </c>
      <c r="K17" s="2">
        <f>ROUND(K16*1.02,2)</f>
        <v>17566.11</v>
      </c>
      <c r="L17" s="2">
        <f>L16</f>
        <v>3711.4599999999991</v>
      </c>
      <c r="M17" s="2">
        <f t="shared" si="21"/>
        <v>21277.57</v>
      </c>
      <c r="P17" s="2">
        <f>ROUND(P16*1.02,2)</f>
        <v>22001.66</v>
      </c>
      <c r="Q17" s="27">
        <f t="shared" si="23"/>
        <v>724.09000000000015</v>
      </c>
    </row>
    <row r="18" spans="1:17" x14ac:dyDescent="0.3">
      <c r="A18" s="22">
        <v>45717</v>
      </c>
      <c r="B18" s="20">
        <v>130.66999999999999</v>
      </c>
      <c r="C18" s="4">
        <f>$C$16*H18</f>
        <v>28860.061355999998</v>
      </c>
      <c r="D18" s="4">
        <f t="shared" si="19"/>
        <v>2405.0051129999997</v>
      </c>
      <c r="E18" s="30">
        <f>C18/1976</f>
        <v>14.605294208502023</v>
      </c>
      <c r="F18" s="13">
        <f>D18*20%*12/365</f>
        <v>15.813732249863012</v>
      </c>
      <c r="G18" s="13">
        <f>$G$16*H18</f>
        <v>4.4358494399999993</v>
      </c>
      <c r="H18" s="25">
        <f>ROUND(1.02^2,4)</f>
        <v>1.0404</v>
      </c>
      <c r="J18" s="15">
        <f>A18</f>
        <v>45717</v>
      </c>
      <c r="K18" s="2">
        <f>ROUND(K17*1.02,2)</f>
        <v>17917.43</v>
      </c>
      <c r="L18" s="2">
        <f>L17</f>
        <v>3711.4599999999991</v>
      </c>
      <c r="M18" s="2">
        <f t="shared" si="21"/>
        <v>21628.89</v>
      </c>
      <c r="P18" s="2">
        <f>ROUND(P17*1.02,2)</f>
        <v>22441.69</v>
      </c>
      <c r="Q18" s="27">
        <f t="shared" si="23"/>
        <v>812.79999999999927</v>
      </c>
    </row>
    <row r="19" spans="1:17" x14ac:dyDescent="0.3">
      <c r="A19" s="22">
        <v>46023</v>
      </c>
      <c r="B19" s="20">
        <v>130.66999999999999</v>
      </c>
      <c r="C19" s="4">
        <v>28860.061355999998</v>
      </c>
      <c r="D19" s="4">
        <f t="shared" ref="D19" si="26">C19/12</f>
        <v>2405.0051129999997</v>
      </c>
      <c r="E19" s="30">
        <f>C19/1976</f>
        <v>14.605294208502023</v>
      </c>
      <c r="F19" s="13">
        <f>D19*20%*12/365</f>
        <v>15.813732249863012</v>
      </c>
      <c r="G19" s="13">
        <v>4.4400000000000004</v>
      </c>
      <c r="H19" s="25">
        <v>1</v>
      </c>
      <c r="J19" s="15">
        <f>A19</f>
        <v>46023</v>
      </c>
      <c r="K19" s="2">
        <f>ROUND(K17*1.02,2)</f>
        <v>17917.43</v>
      </c>
      <c r="L19" s="2">
        <f>L18</f>
        <v>3711.4599999999991</v>
      </c>
      <c r="M19" s="2">
        <f t="shared" ref="M19" si="27">K19+L19</f>
        <v>21628.89</v>
      </c>
      <c r="P19" s="2">
        <f>ROUND(P17*1.02,2)</f>
        <v>22441.69</v>
      </c>
      <c r="Q19" s="27">
        <f t="shared" si="23"/>
        <v>812.79999999999927</v>
      </c>
    </row>
    <row r="20" spans="1:17" x14ac:dyDescent="0.3">
      <c r="A20" s="22">
        <v>46054</v>
      </c>
      <c r="B20" s="20">
        <v>133.28</v>
      </c>
      <c r="C20" s="4">
        <f>$C$19*H20</f>
        <v>29437.262583119998</v>
      </c>
      <c r="D20" s="4">
        <f t="shared" ref="D20" si="28">C20/12</f>
        <v>2453.10521526</v>
      </c>
      <c r="E20" s="30">
        <f>C20/1976</f>
        <v>14.897400092672063</v>
      </c>
      <c r="F20" s="13">
        <f>D20*20%*12/365</f>
        <v>16.130006894860273</v>
      </c>
      <c r="G20" s="13">
        <f>$G$19*H20</f>
        <v>4.5288000000000004</v>
      </c>
      <c r="H20" s="25">
        <f>ROUND(1.02^1,4)</f>
        <v>1.02</v>
      </c>
      <c r="J20" s="15">
        <f>A20</f>
        <v>46054</v>
      </c>
      <c r="K20" s="2">
        <f>ROUND(K19*1.02,2)</f>
        <v>18275.78</v>
      </c>
      <c r="L20" s="2">
        <f>L19</f>
        <v>3711.4599999999991</v>
      </c>
      <c r="M20" s="2">
        <f t="shared" ref="M20" si="29">K20+L20</f>
        <v>21987.239999999998</v>
      </c>
      <c r="P20" s="2">
        <f>ROUND(P19*1.02,2)</f>
        <v>22890.52</v>
      </c>
      <c r="Q20" s="27">
        <f t="shared" ref="Q20" si="30">P20-M20</f>
        <v>903.28000000000247</v>
      </c>
    </row>
  </sheetData>
  <mergeCells count="2">
    <mergeCell ref="A2:H2"/>
    <mergeCell ref="J2:M2"/>
  </mergeCells>
  <pageMargins left="0.7" right="0.7" top="0.75" bottom="0.75" header="0.3" footer="0.3"/>
  <pageSetup scale="77" orientation="landscape" r:id="rId1"/>
  <colBreaks count="1" manualBreakCount="1">
    <brk id="13" max="1048575" man="1"/>
  </colBreaks>
  <ignoredErrors>
    <ignoredError sqref="H7 H9:H15 H17:H18 H20" unlockedFormula="1"/>
    <ignoredError sqref="G6:G7 K8 P8 F15 K16 P16 K19 P19"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De Looze</dc:creator>
  <cp:keywords/>
  <dc:description/>
  <cp:lastModifiedBy>Steven Delooze</cp:lastModifiedBy>
  <cp:revision/>
  <dcterms:created xsi:type="dcterms:W3CDTF">2022-01-13T20:47:21Z</dcterms:created>
  <dcterms:modified xsi:type="dcterms:W3CDTF">2026-02-06T14:31:36Z</dcterms:modified>
  <cp:category/>
  <cp:contentStatus/>
</cp:coreProperties>
</file>